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yncWind Power\2000 External Relations\2100 Sales\NZ Windfarms Ltd\"/>
    </mc:Choice>
  </mc:AlternateContent>
  <xr:revisionPtr revIDLastSave="0" documentId="13_ncr:1_{8B76BFAB-2F26-45FB-83C5-2DB94BD98686}" xr6:coauthVersionLast="47" xr6:coauthVersionMax="47" xr10:uidLastSave="{00000000-0000-0000-0000-000000000000}"/>
  <bookViews>
    <workbookView xWindow="-120" yWindow="-120" windowWidth="20730" windowHeight="11160" xr2:uid="{C782B470-94DF-4FE4-B838-4F5BD32B7B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C20" i="1"/>
  <c r="G20" i="1"/>
  <c r="H1" i="1"/>
  <c r="G5" i="1" l="1"/>
  <c r="G18" i="1" s="1"/>
  <c r="H23" i="1" s="1"/>
  <c r="B2" i="1"/>
  <c r="B5" i="1" s="1"/>
  <c r="F20" i="1"/>
  <c r="F18" i="1"/>
  <c r="F19" i="1"/>
  <c r="E16" i="1"/>
  <c r="E21" i="1" s="1"/>
  <c r="H21" i="1" s="1"/>
  <c r="B16" i="1"/>
  <c r="B21" i="1" s="1"/>
  <c r="F12" i="1"/>
  <c r="F10" i="1"/>
  <c r="E13" i="1"/>
  <c r="E14" i="1" s="1"/>
  <c r="D13" i="1"/>
  <c r="C13" i="1"/>
  <c r="B13" i="1"/>
  <c r="B14" i="1" s="1"/>
  <c r="C9" i="1"/>
  <c r="C11" i="1" s="1"/>
  <c r="D9" i="1"/>
  <c r="D11" i="1" s="1"/>
  <c r="E9" i="1"/>
  <c r="E11" i="1" s="1"/>
  <c r="B9" i="1"/>
  <c r="B11" i="1" s="1"/>
  <c r="G16" i="1" l="1"/>
  <c r="H20" i="1"/>
  <c r="G9" i="1"/>
  <c r="G19" i="1"/>
  <c r="H24" i="1" s="1"/>
  <c r="J6" i="1" s="1"/>
  <c r="J5" i="1"/>
  <c r="H5" i="1" s="1"/>
  <c r="G10" i="1"/>
  <c r="B22" i="1"/>
  <c r="F21" i="1"/>
  <c r="E22" i="1"/>
  <c r="H22" i="1"/>
  <c r="G22" i="1"/>
  <c r="G23" i="1" s="1"/>
  <c r="G24" i="1" s="1"/>
  <c r="F16" i="1"/>
  <c r="F14" i="1"/>
  <c r="F13" i="1"/>
  <c r="F9" i="1"/>
  <c r="H9" i="1" l="1"/>
  <c r="H10" i="1"/>
  <c r="F22" i="1"/>
</calcChain>
</file>

<file path=xl/sharedStrings.xml><?xml version="1.0" encoding="utf-8"?>
<sst xmlns="http://schemas.openxmlformats.org/spreadsheetml/2006/main" count="33" uniqueCount="31">
  <si>
    <t>Te Rere Hau Repower</t>
  </si>
  <si>
    <t>Aokautere Extension</t>
  </si>
  <si>
    <t>Number of Turbines</t>
  </si>
  <si>
    <t>Capacity Factor (P50)</t>
  </si>
  <si>
    <t>Rotor Diameter</t>
  </si>
  <si>
    <t>Output per Turbine (MW)</t>
  </si>
  <si>
    <t>Max Output (MW)</t>
  </si>
  <si>
    <t>Annual Energy Generation (P50) (GWh/yr)</t>
  </si>
  <si>
    <t>Opex ($/MWh)</t>
  </si>
  <si>
    <t>Land area (ha)</t>
  </si>
  <si>
    <t>Energy per swept area (GWh/yr/ha)</t>
  </si>
  <si>
    <t>New Capex ($M)</t>
  </si>
  <si>
    <t>Gross Revenue ($M/yr) @ $92.50/MWh</t>
  </si>
  <si>
    <t>NWF Share of EBITDAF ($M/yr) - minimum</t>
  </si>
  <si>
    <t>NWF Share of EBITDAF ($M/yr) - maximum</t>
  </si>
  <si>
    <t xml:space="preserve">Revenue ($M/yr) after interest and principal payments </t>
  </si>
  <si>
    <t>Estimated interest and principal payments ($M/yr)</t>
  </si>
  <si>
    <t>NWF Share of EBT ($M/yr) - minimum</t>
  </si>
  <si>
    <t>NWF Share of EBT ($M/yr) - maximum</t>
  </si>
  <si>
    <t>Wind farm's total turbine rotor swept area (ha)</t>
  </si>
  <si>
    <t xml:space="preserve">NWF Share of Revenue ($M/yr) after interest and principal payments </t>
  </si>
  <si>
    <t>NWF SQ</t>
  </si>
  <si>
    <t>TJV RP</t>
  </si>
  <si>
    <t>Ratio TJV RP : NWF SQ</t>
  </si>
  <si>
    <t>Assumed Debt Funding (% of Assets/Capex)</t>
  </si>
  <si>
    <t>NWF SQ equity share of TJV RP</t>
  </si>
  <si>
    <t>Not applicable (as above)</t>
  </si>
  <si>
    <t>Not applicable</t>
  </si>
  <si>
    <t>"NWF SQ share" effectively depends on amount of debt</t>
  </si>
  <si>
    <t>Term (years)</t>
  </si>
  <si>
    <t>Interest rate (% p.a.)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</si>
</sst>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0.0"/>
    <numFmt numFmtId="167" formatCode="_-&quot;$&quot;* #,##0.0_-;\-&quot;$&quot;* #,##0.0_-;_-&quot;$&quot;* &quot;-&quot;??_-;_-@_-"/>
    <numFmt numFmtId="168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165" fontId="0" fillId="0" borderId="0" xfId="3" applyNumberFormat="1" applyFont="1"/>
    <xf numFmtId="0" fontId="2" fillId="2" borderId="5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3" borderId="0" xfId="0" applyFont="1" applyFill="1" applyAlignment="1">
      <alignment wrapText="1"/>
    </xf>
    <xf numFmtId="165" fontId="2" fillId="3" borderId="3" xfId="3" applyNumberFormat="1" applyFont="1" applyFill="1" applyBorder="1"/>
    <xf numFmtId="0" fontId="2" fillId="2" borderId="6" xfId="0" applyFont="1" applyFill="1" applyBorder="1"/>
    <xf numFmtId="0" fontId="0" fillId="0" borderId="8" xfId="0" applyBorder="1"/>
    <xf numFmtId="0" fontId="0" fillId="4" borderId="8" xfId="0" applyFill="1" applyBorder="1"/>
    <xf numFmtId="0" fontId="0" fillId="0" borderId="8" xfId="0" applyBorder="1" applyAlignment="1">
      <alignment wrapText="1"/>
    </xf>
    <xf numFmtId="0" fontId="0" fillId="4" borderId="8" xfId="0" applyFill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/>
    <xf numFmtId="0" fontId="0" fillId="4" borderId="11" xfId="0" applyFill="1" applyBorder="1"/>
    <xf numFmtId="9" fontId="0" fillId="5" borderId="11" xfId="3" applyFont="1" applyFill="1" applyBorder="1"/>
    <xf numFmtId="164" fontId="0" fillId="4" borderId="11" xfId="1" applyNumberFormat="1" applyFont="1" applyFill="1" applyBorder="1"/>
    <xf numFmtId="164" fontId="0" fillId="4" borderId="11" xfId="0" applyNumberFormat="1" applyFill="1" applyBorder="1"/>
    <xf numFmtId="167" fontId="0" fillId="4" borderId="11" xfId="2" applyNumberFormat="1" applyFont="1" applyFill="1" applyBorder="1"/>
    <xf numFmtId="167" fontId="0" fillId="0" borderId="11" xfId="2" applyNumberFormat="1" applyFont="1" applyBorder="1"/>
    <xf numFmtId="167" fontId="0" fillId="0" borderId="12" xfId="2" applyNumberFormat="1" applyFont="1" applyBorder="1"/>
    <xf numFmtId="167" fontId="0" fillId="5" borderId="11" xfId="2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wrapText="1"/>
    </xf>
    <xf numFmtId="0" fontId="0" fillId="0" borderId="13" xfId="0" applyBorder="1"/>
    <xf numFmtId="0" fontId="0" fillId="4" borderId="13" xfId="0" applyFill="1" applyBorder="1"/>
    <xf numFmtId="9" fontId="0" fillId="0" borderId="13" xfId="3" applyFont="1" applyBorder="1"/>
    <xf numFmtId="164" fontId="0" fillId="4" borderId="13" xfId="1" applyNumberFormat="1" applyFont="1" applyFill="1" applyBorder="1"/>
    <xf numFmtId="164" fontId="0" fillId="4" borderId="13" xfId="0" applyNumberFormat="1" applyFill="1" applyBorder="1"/>
    <xf numFmtId="167" fontId="0" fillId="4" borderId="13" xfId="2" applyNumberFormat="1" applyFont="1" applyFill="1" applyBorder="1"/>
    <xf numFmtId="167" fontId="0" fillId="0" borderId="13" xfId="2" applyNumberFormat="1" applyFont="1" applyBorder="1"/>
    <xf numFmtId="167" fontId="0" fillId="0" borderId="13" xfId="2" applyNumberFormat="1" applyFont="1" applyFill="1" applyBorder="1"/>
    <xf numFmtId="167" fontId="0" fillId="0" borderId="14" xfId="2" applyNumberFormat="1" applyFont="1" applyFill="1" applyBorder="1"/>
    <xf numFmtId="167" fontId="0" fillId="5" borderId="13" xfId="2" applyNumberFormat="1" applyFont="1" applyFill="1" applyBorder="1"/>
    <xf numFmtId="167" fontId="0" fillId="5" borderId="14" xfId="2" applyNumberFormat="1" applyFont="1" applyFill="1" applyBorder="1"/>
    <xf numFmtId="0" fontId="0" fillId="0" borderId="10" xfId="0" applyBorder="1"/>
    <xf numFmtId="0" fontId="0" fillId="4" borderId="10" xfId="0" applyFill="1" applyBorder="1"/>
    <xf numFmtId="9" fontId="0" fillId="5" borderId="10" xfId="3" applyFont="1" applyFill="1" applyBorder="1"/>
    <xf numFmtId="164" fontId="0" fillId="4" borderId="10" xfId="1" applyNumberFormat="1" applyFont="1" applyFill="1" applyBorder="1"/>
    <xf numFmtId="164" fontId="0" fillId="4" borderId="10" xfId="0" applyNumberFormat="1" applyFill="1" applyBorder="1"/>
    <xf numFmtId="167" fontId="0" fillId="4" borderId="10" xfId="2" applyNumberFormat="1" applyFont="1" applyFill="1" applyBorder="1"/>
    <xf numFmtId="167" fontId="0" fillId="0" borderId="10" xfId="2" applyNumberFormat="1" applyFont="1" applyBorder="1"/>
    <xf numFmtId="167" fontId="0" fillId="0" borderId="15" xfId="2" applyNumberFormat="1" applyFont="1" applyBorder="1"/>
    <xf numFmtId="167" fontId="0" fillId="5" borderId="10" xfId="2" applyNumberFormat="1" applyFont="1" applyFill="1" applyBorder="1"/>
    <xf numFmtId="0" fontId="0" fillId="2" borderId="13" xfId="0" applyFill="1" applyBorder="1"/>
    <xf numFmtId="0" fontId="0" fillId="5" borderId="13" xfId="0" applyFill="1" applyBorder="1"/>
    <xf numFmtId="9" fontId="0" fillId="5" borderId="13" xfId="3" applyFont="1" applyFill="1" applyBorder="1"/>
    <xf numFmtId="167" fontId="0" fillId="2" borderId="13" xfId="2" applyNumberFormat="1" applyFont="1" applyFill="1" applyBorder="1"/>
    <xf numFmtId="167" fontId="0" fillId="2" borderId="14" xfId="2" applyNumberFormat="1" applyFont="1" applyFill="1" applyBorder="1"/>
    <xf numFmtId="0" fontId="0" fillId="4" borderId="16" xfId="0" applyFill="1" applyBorder="1"/>
    <xf numFmtId="166" fontId="0" fillId="4" borderId="16" xfId="0" applyNumberFormat="1" applyFill="1" applyBorder="1"/>
    <xf numFmtId="167" fontId="0" fillId="4" borderId="16" xfId="2" applyNumberFormat="1" applyFont="1" applyFill="1" applyBorder="1"/>
    <xf numFmtId="167" fontId="0" fillId="4" borderId="17" xfId="2" applyNumberFormat="1" applyFont="1" applyFill="1" applyBorder="1"/>
    <xf numFmtId="9" fontId="0" fillId="4" borderId="13" xfId="3" applyFont="1" applyFill="1" applyBorder="1"/>
    <xf numFmtId="164" fontId="0" fillId="4" borderId="14" xfId="1" applyNumberFormat="1" applyFont="1" applyFill="1" applyBorder="1"/>
    <xf numFmtId="164" fontId="0" fillId="5" borderId="13" xfId="1" applyNumberFormat="1" applyFont="1" applyFill="1" applyBorder="1"/>
    <xf numFmtId="0" fontId="0" fillId="5" borderId="18" xfId="0" applyFill="1" applyBorder="1" applyAlignment="1">
      <alignment wrapText="1"/>
    </xf>
    <xf numFmtId="167" fontId="0" fillId="5" borderId="19" xfId="2" applyNumberFormat="1" applyFont="1" applyFill="1" applyBorder="1"/>
    <xf numFmtId="164" fontId="0" fillId="5" borderId="19" xfId="1" applyNumberFormat="1" applyFont="1" applyFill="1" applyBorder="1"/>
    <xf numFmtId="167" fontId="0" fillId="5" borderId="22" xfId="2" applyNumberFormat="1" applyFont="1" applyFill="1" applyBorder="1"/>
    <xf numFmtId="0" fontId="0" fillId="5" borderId="8" xfId="0" applyFill="1" applyBorder="1" applyAlignment="1">
      <alignment wrapText="1"/>
    </xf>
    <xf numFmtId="167" fontId="0" fillId="5" borderId="16" xfId="2" applyNumberFormat="1" applyFont="1" applyFill="1" applyBorder="1"/>
    <xf numFmtId="0" fontId="0" fillId="5" borderId="9" xfId="0" applyFill="1" applyBorder="1" applyAlignment="1">
      <alignment wrapText="1"/>
    </xf>
    <xf numFmtId="167" fontId="0" fillId="5" borderId="12" xfId="2" applyNumberFormat="1" applyFont="1" applyFill="1" applyBorder="1"/>
    <xf numFmtId="167" fontId="0" fillId="5" borderId="15" xfId="2" applyNumberFormat="1" applyFont="1" applyFill="1" applyBorder="1"/>
    <xf numFmtId="167" fontId="0" fillId="5" borderId="17" xfId="2" applyNumberFormat="1" applyFont="1" applyFill="1" applyBorder="1"/>
    <xf numFmtId="43" fontId="0" fillId="4" borderId="13" xfId="1" applyFont="1" applyFill="1" applyBorder="1"/>
    <xf numFmtId="0" fontId="2" fillId="3" borderId="2" xfId="0" applyFont="1" applyFill="1" applyBorder="1" applyAlignment="1">
      <alignment wrapText="1"/>
    </xf>
    <xf numFmtId="9" fontId="2" fillId="3" borderId="4" xfId="3" applyFont="1" applyFill="1" applyBorder="1" applyAlignment="1">
      <alignment wrapText="1"/>
    </xf>
    <xf numFmtId="0" fontId="2" fillId="3" borderId="18" xfId="0" applyFont="1" applyFill="1" applyBorder="1" applyAlignment="1">
      <alignment wrapText="1"/>
    </xf>
    <xf numFmtId="9" fontId="2" fillId="3" borderId="19" xfId="3" applyFont="1" applyFill="1" applyBorder="1" applyAlignment="1">
      <alignment wrapText="1"/>
    </xf>
    <xf numFmtId="0" fontId="2" fillId="3" borderId="23" xfId="0" applyFont="1" applyFill="1" applyBorder="1" applyAlignment="1">
      <alignment wrapText="1"/>
    </xf>
    <xf numFmtId="9" fontId="2" fillId="3" borderId="19" xfId="0" applyNumberFormat="1" applyFont="1" applyFill="1" applyBorder="1" applyAlignment="1">
      <alignment wrapText="1"/>
    </xf>
    <xf numFmtId="0" fontId="2" fillId="3" borderId="19" xfId="0" applyFont="1" applyFill="1" applyBorder="1" applyAlignment="1">
      <alignment wrapText="1"/>
    </xf>
    <xf numFmtId="165" fontId="2" fillId="3" borderId="22" xfId="3" applyNumberFormat="1" applyFont="1" applyFill="1" applyBorder="1"/>
    <xf numFmtId="166" fontId="0" fillId="6" borderId="16" xfId="0" applyNumberFormat="1" applyFill="1" applyBorder="1"/>
    <xf numFmtId="167" fontId="0" fillId="5" borderId="16" xfId="2" applyNumberFormat="1" applyFont="1" applyFill="1" applyBorder="1" applyAlignment="1">
      <alignment wrapText="1"/>
    </xf>
    <xf numFmtId="167" fontId="0" fillId="5" borderId="22" xfId="2" applyNumberFormat="1" applyFont="1" applyFill="1" applyBorder="1" applyAlignment="1">
      <alignment wrapText="1"/>
    </xf>
    <xf numFmtId="167" fontId="0" fillId="5" borderId="17" xfId="2" applyNumberFormat="1" applyFont="1" applyFill="1" applyBorder="1" applyAlignment="1">
      <alignment wrapText="1"/>
    </xf>
    <xf numFmtId="0" fontId="0" fillId="4" borderId="16" xfId="0" applyFill="1" applyBorder="1" applyAlignment="1">
      <alignment horizontal="right"/>
    </xf>
    <xf numFmtId="165" fontId="2" fillId="6" borderId="3" xfId="3" applyNumberFormat="1" applyFont="1" applyFill="1" applyBorder="1" applyAlignment="1">
      <alignment horizontal="right"/>
    </xf>
    <xf numFmtId="167" fontId="0" fillId="5" borderId="20" xfId="2" applyNumberFormat="1" applyFont="1" applyFill="1" applyBorder="1" applyAlignment="1">
      <alignment horizontal="center" wrapText="1"/>
    </xf>
    <xf numFmtId="167" fontId="0" fillId="5" borderId="21" xfId="2" applyNumberFormat="1" applyFont="1" applyFill="1" applyBorder="1" applyAlignment="1">
      <alignment horizontal="center" wrapText="1"/>
    </xf>
    <xf numFmtId="0" fontId="2" fillId="3" borderId="24" xfId="0" applyFont="1" applyFill="1" applyBorder="1" applyAlignment="1">
      <alignment wrapText="1"/>
    </xf>
    <xf numFmtId="0" fontId="2" fillId="3" borderId="25" xfId="0" applyFont="1" applyFill="1" applyBorder="1" applyAlignment="1">
      <alignment wrapText="1"/>
    </xf>
    <xf numFmtId="168" fontId="2" fillId="3" borderId="19" xfId="1" applyNumberFormat="1" applyFont="1" applyFill="1" applyBorder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87B47-6D4F-41CD-A9A4-91595790C488}">
  <dimension ref="A1:J24"/>
  <sheetViews>
    <sheetView tabSelected="1" workbookViewId="0"/>
  </sheetViews>
  <sheetFormatPr defaultRowHeight="15" x14ac:dyDescent="0.25"/>
  <cols>
    <col min="1" max="1" width="25.42578125" customWidth="1"/>
    <col min="2" max="2" width="8.7109375" customWidth="1"/>
    <col min="3" max="4" width="11.7109375" customWidth="1"/>
    <col min="5" max="5" width="10.7109375" customWidth="1"/>
    <col min="6" max="6" width="12.85546875" customWidth="1"/>
    <col min="7" max="7" width="16.28515625" customWidth="1"/>
    <col min="8" max="8" width="16" bestFit="1" customWidth="1"/>
  </cols>
  <sheetData>
    <row r="1" spans="1:10" ht="33.75" customHeight="1" thickBot="1" x14ac:dyDescent="0.3">
      <c r="A1" s="7"/>
      <c r="B1" s="22" t="s">
        <v>21</v>
      </c>
      <c r="C1" s="2" t="s">
        <v>0</v>
      </c>
      <c r="D1" s="2" t="s">
        <v>1</v>
      </c>
      <c r="E1" s="22" t="s">
        <v>22</v>
      </c>
      <c r="F1" s="3" t="s">
        <v>23</v>
      </c>
      <c r="G1" s="4" t="s">
        <v>25</v>
      </c>
      <c r="H1" s="4" t="str">
        <f>"NWF SQ share of Yr 1-"&amp;TEXT(E4,0)&amp;" Revenue"</f>
        <v>NWF SQ share of Yr 1-15 Revenue</v>
      </c>
    </row>
    <row r="2" spans="1:10" ht="30.75" thickBot="1" x14ac:dyDescent="0.3">
      <c r="A2" s="69" t="s">
        <v>24</v>
      </c>
      <c r="B2" s="70">
        <f>11/47.7</f>
        <v>0.23060796645702306</v>
      </c>
      <c r="C2" s="83"/>
      <c r="D2" s="71"/>
      <c r="E2" s="72">
        <v>0.7</v>
      </c>
      <c r="F2" s="73"/>
      <c r="G2" s="74"/>
      <c r="H2" s="74"/>
      <c r="I2" s="1"/>
    </row>
    <row r="3" spans="1:10" ht="15.75" thickBot="1" x14ac:dyDescent="0.3">
      <c r="A3" s="69" t="s">
        <v>30</v>
      </c>
      <c r="B3" s="70"/>
      <c r="C3" s="83"/>
      <c r="D3" s="71"/>
      <c r="E3" s="72">
        <v>0.08</v>
      </c>
      <c r="F3" s="73"/>
      <c r="G3" s="74"/>
      <c r="H3" s="74"/>
      <c r="I3" s="1"/>
    </row>
    <row r="4" spans="1:10" x14ac:dyDescent="0.25">
      <c r="A4" s="69" t="s">
        <v>29</v>
      </c>
      <c r="B4" s="70"/>
      <c r="C4" s="83"/>
      <c r="D4" s="71"/>
      <c r="E4" s="85">
        <v>15</v>
      </c>
      <c r="F4" s="73"/>
      <c r="G4" s="74"/>
      <c r="H4" s="74"/>
      <c r="I4" s="1"/>
    </row>
    <row r="5" spans="1:10" ht="30" customHeight="1" x14ac:dyDescent="0.25">
      <c r="A5" s="67" t="s">
        <v>28</v>
      </c>
      <c r="B5" s="68">
        <f>1-B2</f>
        <v>0.76939203354297692</v>
      </c>
      <c r="C5" s="84"/>
      <c r="D5" s="5"/>
      <c r="E5" s="23"/>
      <c r="F5" s="23"/>
      <c r="G5" s="6">
        <f>G15/(E15*(1-E2))</f>
        <v>0.27944444444444438</v>
      </c>
      <c r="H5" s="80" t="str">
        <f>TEXT(J5,"0.0%")&amp;" to "&amp;TEXT(J6,"0.0%")</f>
        <v>0.4% to 4.4%</v>
      </c>
      <c r="I5" s="1"/>
      <c r="J5" s="1">
        <f>H23/$E$16</f>
        <v>3.7375250694232577E-3</v>
      </c>
    </row>
    <row r="6" spans="1:10" x14ac:dyDescent="0.25">
      <c r="A6" s="8" t="s">
        <v>2</v>
      </c>
      <c r="B6" s="24">
        <v>91</v>
      </c>
      <c r="C6" s="13">
        <v>30</v>
      </c>
      <c r="D6" s="35">
        <v>9</v>
      </c>
      <c r="E6" s="44">
        <v>39</v>
      </c>
      <c r="F6" s="25"/>
      <c r="G6" s="49"/>
      <c r="H6" s="79"/>
      <c r="J6" s="1">
        <f>H24/$E$16</f>
        <v>4.3857326145399604E-2</v>
      </c>
    </row>
    <row r="7" spans="1:10" x14ac:dyDescent="0.25">
      <c r="A7" s="9" t="s">
        <v>4</v>
      </c>
      <c r="B7" s="25">
        <v>33</v>
      </c>
      <c r="C7" s="14">
        <v>132</v>
      </c>
      <c r="D7" s="36">
        <v>132</v>
      </c>
      <c r="E7" s="25">
        <v>132</v>
      </c>
      <c r="F7" s="25"/>
      <c r="G7" s="49"/>
      <c r="H7" s="49"/>
    </row>
    <row r="8" spans="1:10" x14ac:dyDescent="0.25">
      <c r="A8" s="8" t="s">
        <v>5</v>
      </c>
      <c r="B8" s="24">
        <v>0.5</v>
      </c>
      <c r="C8" s="13">
        <v>5</v>
      </c>
      <c r="D8" s="35">
        <v>5</v>
      </c>
      <c r="E8" s="44">
        <v>5</v>
      </c>
      <c r="F8" s="25"/>
      <c r="G8" s="49"/>
      <c r="H8" s="49"/>
    </row>
    <row r="9" spans="1:10" x14ac:dyDescent="0.25">
      <c r="A9" s="8" t="s">
        <v>6</v>
      </c>
      <c r="B9" s="24">
        <f>B6*B8</f>
        <v>45.5</v>
      </c>
      <c r="C9" s="13">
        <f t="shared" ref="C9:E9" si="0">C6*C8</f>
        <v>150</v>
      </c>
      <c r="D9" s="35">
        <f t="shared" si="0"/>
        <v>45</v>
      </c>
      <c r="E9" s="45">
        <f t="shared" si="0"/>
        <v>195</v>
      </c>
      <c r="F9" s="27">
        <f>E9/B9</f>
        <v>4.2857142857142856</v>
      </c>
      <c r="G9" s="50">
        <f>$G$5*E9</f>
        <v>54.491666666666653</v>
      </c>
      <c r="H9" s="75">
        <f>$J$6*E9</f>
        <v>8.5521785983529224</v>
      </c>
    </row>
    <row r="10" spans="1:10" ht="36.75" customHeight="1" x14ac:dyDescent="0.25">
      <c r="A10" s="10" t="s">
        <v>7</v>
      </c>
      <c r="B10" s="24">
        <v>117</v>
      </c>
      <c r="C10" s="13">
        <v>574</v>
      </c>
      <c r="D10" s="35">
        <v>194</v>
      </c>
      <c r="E10" s="44">
        <v>753</v>
      </c>
      <c r="F10" s="27">
        <f>E10/B10</f>
        <v>6.4358974358974361</v>
      </c>
      <c r="G10" s="50">
        <f>$G$5*E10</f>
        <v>210.42166666666662</v>
      </c>
      <c r="H10" s="75">
        <f>$J$6*E10</f>
        <v>33.0245665874859</v>
      </c>
    </row>
    <row r="11" spans="1:10" x14ac:dyDescent="0.25">
      <c r="A11" s="8" t="s">
        <v>3</v>
      </c>
      <c r="B11" s="26">
        <f>B10*1000/(B9*8766)</f>
        <v>0.2933411557641537</v>
      </c>
      <c r="C11" s="15">
        <f>C10*1000/(C9*8766)</f>
        <v>0.4365350977260628</v>
      </c>
      <c r="D11" s="37">
        <f t="shared" ref="D11:E11" si="1">D10*1000/(D9*8766)</f>
        <v>0.49179912287372929</v>
      </c>
      <c r="E11" s="46">
        <f t="shared" si="1"/>
        <v>0.44051317151933167</v>
      </c>
      <c r="F11" s="53"/>
      <c r="G11" s="49"/>
      <c r="H11" s="49"/>
    </row>
    <row r="12" spans="1:10" x14ac:dyDescent="0.25">
      <c r="A12" s="8" t="s">
        <v>9</v>
      </c>
      <c r="B12" s="24">
        <v>558</v>
      </c>
      <c r="C12" s="13"/>
      <c r="D12" s="35"/>
      <c r="E12" s="44">
        <v>1207</v>
      </c>
      <c r="F12" s="27">
        <f>E12/B12</f>
        <v>2.1630824372759858</v>
      </c>
      <c r="G12" s="49"/>
      <c r="H12" s="49"/>
    </row>
    <row r="13" spans="1:10" ht="30" x14ac:dyDescent="0.25">
      <c r="A13" s="11" t="s">
        <v>19</v>
      </c>
      <c r="B13" s="27">
        <f>B6*PI()/4*B7^2/10000</f>
        <v>7.783217259452373</v>
      </c>
      <c r="C13" s="16">
        <f t="shared" ref="C13:E13" si="2">C6*PI()/4*C7^2/10000</f>
        <v>41.054332797111414</v>
      </c>
      <c r="D13" s="38">
        <f t="shared" si="2"/>
        <v>12.316299839133425</v>
      </c>
      <c r="E13" s="27">
        <f t="shared" si="2"/>
        <v>53.370632636244842</v>
      </c>
      <c r="F13" s="27">
        <f>E13/B13</f>
        <v>6.8571428571428568</v>
      </c>
      <c r="G13" s="49"/>
      <c r="H13" s="49"/>
    </row>
    <row r="14" spans="1:10" ht="30" x14ac:dyDescent="0.25">
      <c r="A14" s="11" t="s">
        <v>10</v>
      </c>
      <c r="B14" s="28">
        <f>B10/B13</f>
        <v>15.032344093685509</v>
      </c>
      <c r="C14" s="17"/>
      <c r="D14" s="39"/>
      <c r="E14" s="28">
        <f>E10/E13</f>
        <v>14.108882784511454</v>
      </c>
      <c r="F14" s="66">
        <f>E14/B14</f>
        <v>0.93856837606837618</v>
      </c>
      <c r="G14" s="49"/>
      <c r="H14" s="49"/>
    </row>
    <row r="15" spans="1:10" x14ac:dyDescent="0.25">
      <c r="A15" s="9" t="s">
        <v>11</v>
      </c>
      <c r="B15" s="29">
        <v>0</v>
      </c>
      <c r="C15" s="18"/>
      <c r="D15" s="40"/>
      <c r="E15" s="29">
        <v>600</v>
      </c>
      <c r="F15" s="29"/>
      <c r="G15" s="51">
        <v>50.3</v>
      </c>
      <c r="H15" s="51">
        <v>50.3</v>
      </c>
    </row>
    <row r="16" spans="1:10" ht="30" x14ac:dyDescent="0.25">
      <c r="A16" s="11" t="s">
        <v>12</v>
      </c>
      <c r="B16" s="29">
        <f>B10*92.5/1000</f>
        <v>10.8225</v>
      </c>
      <c r="C16" s="18"/>
      <c r="D16" s="40"/>
      <c r="E16" s="29">
        <f>E10*92.5/1000</f>
        <v>69.652500000000003</v>
      </c>
      <c r="F16" s="27">
        <f>E16/B16</f>
        <v>6.4358974358974361</v>
      </c>
      <c r="G16" s="51">
        <f>$G$5*E16</f>
        <v>19.464004166666662</v>
      </c>
      <c r="H16" s="51" t="s">
        <v>27</v>
      </c>
    </row>
    <row r="17" spans="1:8" x14ac:dyDescent="0.25">
      <c r="A17" s="8" t="s">
        <v>8</v>
      </c>
      <c r="B17" s="30">
        <v>33</v>
      </c>
      <c r="C17" s="19"/>
      <c r="D17" s="41"/>
      <c r="E17" s="47">
        <v>12</v>
      </c>
      <c r="F17" s="29"/>
      <c r="G17" s="51"/>
      <c r="H17" s="51"/>
    </row>
    <row r="18" spans="1:8" ht="30" x14ac:dyDescent="0.25">
      <c r="A18" s="10" t="s">
        <v>13</v>
      </c>
      <c r="B18" s="31">
        <v>3</v>
      </c>
      <c r="C18" s="19"/>
      <c r="D18" s="41"/>
      <c r="E18" s="47">
        <v>25</v>
      </c>
      <c r="F18" s="27">
        <f>E18/B18</f>
        <v>8.3333333333333339</v>
      </c>
      <c r="G18" s="51">
        <f>$G$5*E18*2</f>
        <v>13.97222222222222</v>
      </c>
      <c r="H18" s="51" t="s">
        <v>27</v>
      </c>
    </row>
    <row r="19" spans="1:8" ht="30.75" thickBot="1" x14ac:dyDescent="0.3">
      <c r="A19" s="12" t="s">
        <v>14</v>
      </c>
      <c r="B19" s="32">
        <v>6</v>
      </c>
      <c r="C19" s="20"/>
      <c r="D19" s="42"/>
      <c r="E19" s="48">
        <v>30</v>
      </c>
      <c r="F19" s="54">
        <f>E19/B19</f>
        <v>5</v>
      </c>
      <c r="G19" s="52">
        <f>$G$5*E19*2</f>
        <v>16.766666666666662</v>
      </c>
      <c r="H19" s="52" t="s">
        <v>27</v>
      </c>
    </row>
    <row r="20" spans="1:8" ht="57.75" customHeight="1" x14ac:dyDescent="0.25">
      <c r="A20" s="56" t="s">
        <v>16</v>
      </c>
      <c r="B20" s="57">
        <v>1.2</v>
      </c>
      <c r="C20" s="81" t="str">
        <f>"(Assumes table payments on "&amp;TEXT(E2,"0%")&amp;" of new capex over "&amp;TEXT(E4,0)&amp;" years at "&amp;TEXT(E3,"0%")&amp;" p.a. interest)"</f>
        <v>(Assumes table payments on 70% of new capex over 15 years at 8% p.a. interest)</v>
      </c>
      <c r="D20" s="82"/>
      <c r="E20" s="57">
        <f>-PMT(E3,E4,E15*E2)</f>
        <v>49.068408873128419</v>
      </c>
      <c r="F20" s="58">
        <f>E20/B20</f>
        <v>40.890340727607018</v>
      </c>
      <c r="G20" s="77" t="str">
        <f>"Not applicable once debt paid off (after "&amp;TEXT(E4,0)&amp;" years)"</f>
        <v>Not applicable once debt paid off (after 15 years)</v>
      </c>
      <c r="H20" s="59">
        <f>$G$5*E20</f>
        <v>13.711894257324216</v>
      </c>
    </row>
    <row r="21" spans="1:8" ht="45" x14ac:dyDescent="0.25">
      <c r="A21" s="60" t="s">
        <v>15</v>
      </c>
      <c r="B21" s="33">
        <f>B16-B20</f>
        <v>9.6225000000000005</v>
      </c>
      <c r="C21" s="21"/>
      <c r="D21" s="43"/>
      <c r="E21" s="33">
        <f>(E16-E20)</f>
        <v>20.584091126871584</v>
      </c>
      <c r="F21" s="55">
        <f>E21/B21</f>
        <v>2.1391624969469039</v>
      </c>
      <c r="G21" s="76" t="s">
        <v>26</v>
      </c>
      <c r="H21" s="61">
        <f>$G$5*E21</f>
        <v>5.7521099093424466</v>
      </c>
    </row>
    <row r="22" spans="1:8" ht="45" x14ac:dyDescent="0.25">
      <c r="A22" s="60" t="s">
        <v>20</v>
      </c>
      <c r="B22" s="33">
        <f>B16-B20</f>
        <v>9.6225000000000005</v>
      </c>
      <c r="C22" s="21"/>
      <c r="D22" s="43"/>
      <c r="E22" s="33">
        <f>E21/2</f>
        <v>10.292045563435792</v>
      </c>
      <c r="F22" s="55">
        <f>E22/B22</f>
        <v>1.0695812484734519</v>
      </c>
      <c r="G22" s="76" t="str">
        <f>G21</f>
        <v>Not applicable (as above)</v>
      </c>
      <c r="H22" s="61">
        <f>H21</f>
        <v>5.7521099093424466</v>
      </c>
    </row>
    <row r="23" spans="1:8" ht="30" x14ac:dyDescent="0.25">
      <c r="A23" s="60" t="s">
        <v>17</v>
      </c>
      <c r="B23" s="33">
        <v>1.8</v>
      </c>
      <c r="C23" s="21"/>
      <c r="D23" s="43"/>
      <c r="E23" s="33"/>
      <c r="F23" s="33"/>
      <c r="G23" s="76" t="str">
        <f>G22</f>
        <v>Not applicable (as above)</v>
      </c>
      <c r="H23" s="61">
        <f>G18-$G$5*$E$20</f>
        <v>0.26032796489800347</v>
      </c>
    </row>
    <row r="24" spans="1:8" ht="30.75" thickBot="1" x14ac:dyDescent="0.3">
      <c r="A24" s="62" t="s">
        <v>18</v>
      </c>
      <c r="B24" s="34">
        <v>4.8</v>
      </c>
      <c r="C24" s="63"/>
      <c r="D24" s="64"/>
      <c r="E24" s="34"/>
      <c r="F24" s="34"/>
      <c r="G24" s="78" t="str">
        <f>G23</f>
        <v>Not applicable (as above)</v>
      </c>
      <c r="H24" s="65">
        <f>G19-$G$5*$E$20</f>
        <v>3.054772409342446</v>
      </c>
    </row>
  </sheetData>
  <mergeCells count="1">
    <mergeCell ref="C20:D20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Henderson</dc:creator>
  <cp:lastModifiedBy>Geoff Henderson</cp:lastModifiedBy>
  <dcterms:created xsi:type="dcterms:W3CDTF">2023-12-12T11:00:10Z</dcterms:created>
  <dcterms:modified xsi:type="dcterms:W3CDTF">2023-12-15T19:05:02Z</dcterms:modified>
</cp:coreProperties>
</file>